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nnual_Maintenance_Cost">'[1]Sheet1'!#REF!</definedName>
    <definedName name="Base">'[1]Sheet1'!#REF!</definedName>
    <definedName name="BR">'[1]Sheet1'!#REF!</definedName>
    <definedName name="BuilderInput">'[1]Sheet1'!$D$26:$N$31</definedName>
    <definedName name="BuyerInput">'[1]Sheet1'!$E$20:$I$21</definedName>
    <definedName name="Cost_of_Solar_Option">'[1]Sheet1'!#REF!</definedName>
    <definedName name="Energy_escalation_rate">'[1]Sheet1'!#REF!</definedName>
    <definedName name="Income_tax_bracket">'[1]Sheet1'!$C$24</definedName>
    <definedName name="Initial_Monthly_Benefit">'[1]Sheet1'!$C$73:$E$77</definedName>
    <definedName name="Interest">'[1]Sheet1'!$G$22</definedName>
    <definedName name="Loan_term">'[1]Sheet1'!$C$22</definedName>
    <definedName name="Long_term_inflation_rate">'[1]Sheet1'!#REF!</definedName>
    <definedName name="Maintenance_Cost___15th_year">'[1]Sheet1'!#REF!</definedName>
    <definedName name="Mortgage_interest_rate">'[1]Sheet1'!$C$23</definedName>
    <definedName name="People">'[1]Sheet1'!$I$21</definedName>
    <definedName name="Percent">'[1]Sheet1'!$E$22</definedName>
    <definedName name="Percentage_down">'[1]Sheet1'!$C$21</definedName>
    <definedName name="SolarSystem">'[1]Sheet1'!#REF!</definedName>
    <definedName name="Tax">'[1]Sheet1'!#REF!</definedName>
    <definedName name="Term">'[1]Sheet1'!$F$22</definedName>
    <definedName name="Total_Cumulative_Cash">'[1]Sheet1'!$J$66</definedName>
    <definedName name="WithoutSolar">'[1]Sheet1'!#REF!</definedName>
  </definedNames>
  <calcPr fullCalcOnLoad="1"/>
</workbook>
</file>

<file path=xl/sharedStrings.xml><?xml version="1.0" encoding="utf-8"?>
<sst xmlns="http://schemas.openxmlformats.org/spreadsheetml/2006/main" count="59" uniqueCount="57">
  <si>
    <t>Description:</t>
  </si>
  <si>
    <t>Percentage down:</t>
  </si>
  <si>
    <t>Income tax bracket:</t>
  </si>
  <si>
    <t>Year</t>
  </si>
  <si>
    <t>Down Payment</t>
  </si>
  <si>
    <t>Yearly Loan Payment</t>
  </si>
  <si>
    <t>Yearly Energy Savings</t>
  </si>
  <si>
    <t>Interest Deduction</t>
  </si>
  <si>
    <t>Maint.  Cost</t>
  </si>
  <si>
    <t>First Year Credits</t>
  </si>
  <si>
    <t>Net Cash Flow</t>
  </si>
  <si>
    <t>Cumlative Net Cash Flow</t>
  </si>
  <si>
    <t>Interest Payment</t>
  </si>
  <si>
    <t>Unpaid Principal</t>
  </si>
  <si>
    <t>Inflation rate</t>
  </si>
  <si>
    <t>Maintenance Cost
 (Current $)</t>
  </si>
  <si>
    <t>Annual Base Cost:</t>
  </si>
  <si>
    <t>Annual Energy Cost Savings:</t>
  </si>
  <si>
    <t>Internal Rate of Return:</t>
  </si>
  <si>
    <t>Cash Flow Table:</t>
  </si>
  <si>
    <t>Initial Monthly Benefit:</t>
  </si>
  <si>
    <t>Increase in Mortgage Payment</t>
  </si>
  <si>
    <t>Reduction in Income Taxes</t>
  </si>
  <si>
    <t>Reduction in Utility Bill</t>
  </si>
  <si>
    <t>Provision for Maintenance</t>
  </si>
  <si>
    <t>Net Monthly Savings</t>
  </si>
  <si>
    <t>Inflation</t>
  </si>
  <si>
    <t>Escalation</t>
  </si>
  <si>
    <t>30 years</t>
  </si>
  <si>
    <t>10 years</t>
  </si>
  <si>
    <t>The outputs are the initial monthly benefits of the solar water heating system,</t>
  </si>
  <si>
    <t>the net cash flow projected for 30 years, and the estimated rate of return to the users</t>
  </si>
  <si>
    <t>Source:</t>
  </si>
  <si>
    <t>Solar Water Heating - Energy Life Cycle Costing Analysis</t>
  </si>
  <si>
    <t>Actual savings will vary.  This information is provided only as an estimate of actual savings based on data entered.</t>
  </si>
  <si>
    <t>Baseload energy usage for domestic hot water is based on SRCC data for specific communities.</t>
  </si>
  <si>
    <t xml:space="preserve">Solar water heating ratings should be obtained from the SRCC chart available from the previous page.  </t>
  </si>
  <si>
    <t>Arizona Energy Office 2/01/2002</t>
  </si>
  <si>
    <t>Electric Rate ($/kWh)</t>
  </si>
  <si>
    <t>Your Location</t>
  </si>
  <si>
    <t>Solar System Cost</t>
  </si>
  <si>
    <t>Tax Credits</t>
  </si>
  <si>
    <t>Financal Indicators</t>
  </si>
  <si>
    <t>Solar System Rating (kWh/yr)</t>
  </si>
  <si>
    <t>Loan term          (in years)</t>
  </si>
  <si>
    <t>Mortgage              interest rate:</t>
  </si>
  <si>
    <t>Home Mortage Information</t>
  </si>
  <si>
    <t>Your Home Energy Information</t>
  </si>
  <si>
    <t>Outputs</t>
  </si>
  <si>
    <t>Annual Maintance Cost</t>
  </si>
  <si>
    <t>Cost of maintance                       @ 15 yr</t>
  </si>
  <si>
    <t>This model only calculates estimates for electric water heating. Calculatons are based on a family of four.</t>
  </si>
  <si>
    <t>The Arizona Solar Tax Credit is 25% of the cost of a system up to a.$1,000 maximum (automatically entered on line C29).</t>
  </si>
  <si>
    <t>Net Present Value</t>
  </si>
  <si>
    <r>
      <t>The user can customize this model by changing the inputs</t>
    </r>
    <r>
      <rPr>
        <b/>
        <sz val="10"/>
        <color indexed="12"/>
        <rFont val="Arial"/>
        <family val="2"/>
      </rPr>
      <t xml:space="preserve"> (in blue)</t>
    </r>
    <r>
      <rPr>
        <sz val="10"/>
        <rFont val="Arial"/>
        <family val="0"/>
      </rPr>
      <t xml:space="preserve"> to reflect specific conditions.</t>
    </r>
  </si>
  <si>
    <t>Energy savings from solar (SRCC ratings in kWh)) should be entered for "Solar System Rating" (line G-24).</t>
  </si>
  <si>
    <t>APS, SRP and TEP standard rates are available from the previous page.  Enter in the "Electric Rate" box (line G-22.).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</si>
</sst>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  <numFmt numFmtId="166" formatCode="0_);[Red]\(0\)"/>
    <numFmt numFmtId="167" formatCode="&quot;$&quot;#,##0.000_);[Red]\(&quot;$&quot;#,##0.000\)"/>
    <numFmt numFmtId="168" formatCode="#,##0.0_);[Red]\(#,##0.0\)"/>
    <numFmt numFmtId="169" formatCode="&quot;$&quot;#,##0"/>
    <numFmt numFmtId="170" formatCode="&quot;$&quot;#,##0.00"/>
    <numFmt numFmtId="171" formatCode=";;;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6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8"/>
      <name val="Geneva"/>
      <family val="0"/>
    </font>
    <font>
      <sz val="8"/>
      <name val="Arial"/>
      <family val="0"/>
    </font>
    <font>
      <b/>
      <i/>
      <sz val="8"/>
      <name val="Arial"/>
      <family val="2"/>
    </font>
    <font>
      <b/>
      <i/>
      <sz val="18"/>
      <color indexed="17"/>
      <name val="Arial"/>
      <family val="2"/>
    </font>
    <font>
      <b/>
      <sz val="9"/>
      <name val="Arial"/>
      <family val="2"/>
    </font>
    <font>
      <b/>
      <i/>
      <sz val="12"/>
      <color indexed="57"/>
      <name val="Arial"/>
      <family val="2"/>
    </font>
    <font>
      <b/>
      <i/>
      <sz val="12"/>
      <color indexed="1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i/>
      <sz val="14"/>
      <color indexed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medium"/>
      <top style="medium"/>
      <bottom style="medium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6" fontId="0" fillId="0" borderId="0" xfId="0" applyNumberFormat="1" applyBorder="1" applyAlignment="1" applyProtection="1">
      <alignment horizontal="center"/>
      <protection locked="0"/>
    </xf>
    <xf numFmtId="38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center"/>
      <protection locked="0"/>
    </xf>
    <xf numFmtId="171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9" fillId="0" borderId="6" xfId="0" applyFont="1" applyBorder="1" applyAlignment="1" applyProtection="1">
      <alignment horizontal="right" wrapText="1"/>
      <protection/>
    </xf>
    <xf numFmtId="9" fontId="10" fillId="0" borderId="7" xfId="0" applyNumberFormat="1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right" wrapText="1"/>
      <protection/>
    </xf>
    <xf numFmtId="38" fontId="10" fillId="0" borderId="9" xfId="0" applyNumberFormat="1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170" fontId="10" fillId="0" borderId="10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0" fontId="10" fillId="0" borderId="9" xfId="0" applyNumberFormat="1" applyFont="1" applyBorder="1" applyAlignment="1" applyProtection="1">
      <alignment horizontal="center"/>
      <protection/>
    </xf>
    <xf numFmtId="169" fontId="10" fillId="0" borderId="10" xfId="0" applyNumberFormat="1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right" wrapText="1"/>
      <protection/>
    </xf>
    <xf numFmtId="9" fontId="10" fillId="0" borderId="13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172" fontId="10" fillId="0" borderId="18" xfId="0" applyNumberFormat="1" applyFont="1" applyBorder="1" applyAlignment="1" applyProtection="1">
      <alignment horizontal="center"/>
      <protection/>
    </xf>
    <xf numFmtId="8" fontId="13" fillId="0" borderId="18" xfId="0" applyNumberFormat="1" applyFont="1" applyBorder="1" applyAlignment="1" applyProtection="1">
      <alignment/>
      <protection/>
    </xf>
    <xf numFmtId="172" fontId="10" fillId="0" borderId="9" xfId="0" applyNumberFormat="1" applyFont="1" applyBorder="1" applyAlignment="1" applyProtection="1">
      <alignment horizontal="center"/>
      <protection/>
    </xf>
    <xf numFmtId="8" fontId="13" fillId="0" borderId="13" xfId="0" applyNumberFormat="1" applyFont="1" applyBorder="1" applyAlignment="1" applyProtection="1">
      <alignment/>
      <protection/>
    </xf>
    <xf numFmtId="169" fontId="10" fillId="0" borderId="9" xfId="0" applyNumberFormat="1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 wrapText="1"/>
      <protection/>
    </xf>
    <xf numFmtId="170" fontId="10" fillId="0" borderId="9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wrapText="1"/>
      <protection/>
    </xf>
    <xf numFmtId="170" fontId="10" fillId="0" borderId="13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0" fontId="0" fillId="0" borderId="0" xfId="0" applyNumberForma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1" xfId="0" applyFon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66" fontId="15" fillId="0" borderId="25" xfId="0" applyNumberFormat="1" applyFont="1" applyBorder="1" applyAlignment="1" applyProtection="1">
      <alignment/>
      <protection/>
    </xf>
    <xf numFmtId="8" fontId="15" fillId="0" borderId="25" xfId="0" applyNumberFormat="1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165" fontId="15" fillId="0" borderId="25" xfId="0" applyNumberFormat="1" applyFont="1" applyBorder="1" applyAlignment="1" applyProtection="1">
      <alignment/>
      <protection/>
    </xf>
    <xf numFmtId="166" fontId="15" fillId="0" borderId="10" xfId="0" applyNumberFormat="1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8" fontId="15" fillId="0" borderId="28" xfId="0" applyNumberFormat="1" applyFont="1" applyBorder="1" applyAlignment="1" applyProtection="1">
      <alignment/>
      <protection/>
    </xf>
    <xf numFmtId="8" fontId="15" fillId="0" borderId="29" xfId="0" applyNumberFormat="1" applyFont="1" applyBorder="1" applyAlignment="1" applyProtection="1">
      <alignment/>
      <protection/>
    </xf>
    <xf numFmtId="8" fontId="15" fillId="0" borderId="10" xfId="0" applyNumberFormat="1" applyFont="1" applyBorder="1" applyAlignment="1" applyProtection="1">
      <alignment/>
      <protection/>
    </xf>
    <xf numFmtId="165" fontId="15" fillId="0" borderId="10" xfId="0" applyNumberFormat="1" applyFont="1" applyBorder="1" applyAlignment="1" applyProtection="1">
      <alignment/>
      <protection/>
    </xf>
    <xf numFmtId="8" fontId="16" fillId="0" borderId="10" xfId="0" applyNumberFormat="1" applyFon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9" fontId="17" fillId="2" borderId="30" xfId="0" applyNumberFormat="1" applyFont="1" applyFill="1" applyBorder="1" applyAlignment="1" applyProtection="1">
      <alignment/>
      <protection/>
    </xf>
    <xf numFmtId="8" fontId="18" fillId="0" borderId="31" xfId="0" applyNumberFormat="1" applyFont="1" applyBorder="1" applyAlignment="1" applyProtection="1">
      <alignment horizontal="left" indent="1"/>
      <protection/>
    </xf>
    <xf numFmtId="8" fontId="19" fillId="2" borderId="32" xfId="0" applyNumberFormat="1" applyFont="1" applyFill="1" applyBorder="1" applyAlignment="1" applyProtection="1">
      <alignment/>
      <protection/>
    </xf>
    <xf numFmtId="8" fontId="18" fillId="0" borderId="33" xfId="0" applyNumberFormat="1" applyFont="1" applyBorder="1" applyAlignment="1" applyProtection="1">
      <alignment horizontal="left" indent="1"/>
      <protection/>
    </xf>
    <xf numFmtId="8" fontId="18" fillId="0" borderId="0" xfId="0" applyNumberFormat="1" applyFont="1" applyAlignment="1" applyProtection="1">
      <alignment horizontal="center"/>
      <protection/>
    </xf>
    <xf numFmtId="9" fontId="17" fillId="2" borderId="32" xfId="0" applyNumberFormat="1" applyFont="1" applyFill="1" applyBorder="1" applyAlignment="1" applyProtection="1">
      <alignment/>
      <protection/>
    </xf>
    <xf numFmtId="8" fontId="18" fillId="0" borderId="31" xfId="0" applyNumberFormat="1" applyFont="1" applyBorder="1" applyAlignment="1" applyProtection="1">
      <alignment horizontal="left" wrapText="1" indent="1"/>
      <protection/>
    </xf>
    <xf numFmtId="8" fontId="20" fillId="2" borderId="3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wrapText="1"/>
      <protection/>
    </xf>
    <xf numFmtId="9" fontId="17" fillId="2" borderId="0" xfId="0" applyNumberFormat="1" applyFont="1" applyFill="1" applyBorder="1" applyAlignment="1" applyProtection="1">
      <alignment/>
      <protection/>
    </xf>
    <xf numFmtId="8" fontId="18" fillId="0" borderId="0" xfId="0" applyNumberFormat="1" applyFont="1" applyBorder="1" applyAlignment="1" applyProtection="1">
      <alignment horizontal="left" wrapText="1" indent="1"/>
      <protection/>
    </xf>
    <xf numFmtId="0" fontId="22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/>
      <protection/>
    </xf>
    <xf numFmtId="44" fontId="8" fillId="3" borderId="0" xfId="0" applyNumberFormat="1" applyFont="1" applyFill="1" applyAlignment="1" applyProtection="1">
      <alignment/>
      <protection/>
    </xf>
    <xf numFmtId="44" fontId="8" fillId="3" borderId="5" xfId="0" applyNumberFormat="1" applyFont="1" applyFill="1" applyBorder="1" applyAlignment="1" applyProtection="1">
      <alignment/>
      <protection/>
    </xf>
    <xf numFmtId="44" fontId="4" fillId="3" borderId="3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0" fontId="9" fillId="0" borderId="37" xfId="0" applyFont="1" applyBorder="1" applyAlignment="1" applyProtection="1">
      <alignment horizontal="left" vertical="center" wrapText="1" indent="1"/>
      <protection/>
    </xf>
    <xf numFmtId="0" fontId="9" fillId="0" borderId="38" xfId="0" applyFont="1" applyBorder="1" applyAlignment="1" applyProtection="1">
      <alignment horizontal="left" vertical="center" wrapText="1" indent="1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12" fillId="0" borderId="39" xfId="0" applyFont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 wrapText="1"/>
      <protection/>
    </xf>
    <xf numFmtId="0" fontId="15" fillId="0" borderId="47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24" fillId="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3" fillId="4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66</xdr:row>
      <xdr:rowOff>152400</xdr:rowOff>
    </xdr:from>
    <xdr:to>
      <xdr:col>10</xdr:col>
      <xdr:colOff>19050</xdr:colOff>
      <xdr:row>70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4848225" y="13001625"/>
          <a:ext cx="2314575" cy="1390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The net present value (NPV) method of evaluating a major purchase considers the time value of money (a dollar received today is worth more than a dollar received in the future). NPV helps you find the present value in "today's dollars" of the future net cash flow of a purchase. If NPV is greater than zero, the purchase will be profitable for you.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zsolarcenter.com/Documents%20and%20Settings\default\Local%20Settings\Temporary%20Internet%20Files\Content.IE5\7X6LKF0D\DOCUME~1\JimA\LOCALS~1\Temp\MY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0.25</v>
          </cell>
          <cell r="E21" t="str">
            <v>Your Location</v>
          </cell>
        </row>
        <row r="22">
          <cell r="C22">
            <v>15</v>
          </cell>
          <cell r="E22" t="str">
            <v>Electric Rate ($/kWh)</v>
          </cell>
          <cell r="G22">
            <v>0.1</v>
          </cell>
        </row>
        <row r="23">
          <cell r="C23">
            <v>0.07</v>
          </cell>
        </row>
        <row r="24">
          <cell r="C24">
            <v>0.25</v>
          </cell>
        </row>
        <row r="27">
          <cell r="E27" t="str">
            <v>Annual Base Cost:</v>
          </cell>
          <cell r="H27">
            <v>360</v>
          </cell>
        </row>
        <row r="28">
          <cell r="E28" t="str">
            <v>Annual Energy Cost Savings:</v>
          </cell>
          <cell r="H28">
            <v>320</v>
          </cell>
        </row>
        <row r="66">
          <cell r="J66">
            <v>3238.5419794111613</v>
          </cell>
        </row>
        <row r="73">
          <cell r="E73">
            <v>-24.268363313015485</v>
          </cell>
        </row>
        <row r="74">
          <cell r="E74">
            <v>3.868272744984233</v>
          </cell>
        </row>
        <row r="75">
          <cell r="E75">
            <v>26.666666666666668</v>
          </cell>
        </row>
        <row r="76">
          <cell r="E76">
            <v>-4.722222222222222</v>
          </cell>
        </row>
        <row r="77">
          <cell r="E77">
            <v>1.5443538764131928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workbookViewId="0" topLeftCell="A33">
      <selection activeCell="A108" sqref="A108"/>
    </sheetView>
  </sheetViews>
  <sheetFormatPr defaultColWidth="9.140625" defaultRowHeight="12.75"/>
  <cols>
    <col min="1" max="1" width="4.57421875" style="6" customWidth="1"/>
    <col min="2" max="2" width="13.8515625" style="6" customWidth="1"/>
    <col min="3" max="3" width="14.7109375" style="6" customWidth="1"/>
    <col min="4" max="4" width="1.7109375" style="6" customWidth="1"/>
    <col min="5" max="5" width="12.421875" style="6" customWidth="1"/>
    <col min="6" max="6" width="13.421875" style="6" customWidth="1"/>
    <col min="7" max="7" width="11.28125" style="6" customWidth="1"/>
    <col min="8" max="8" width="13.57421875" style="6" customWidth="1"/>
    <col min="9" max="9" width="9.140625" style="6" customWidth="1"/>
    <col min="10" max="10" width="12.421875" style="6" customWidth="1"/>
    <col min="11" max="11" width="10.57421875" style="6" customWidth="1"/>
    <col min="12" max="12" width="9.421875" style="6" customWidth="1"/>
    <col min="13" max="13" width="8.00390625" style="6" customWidth="1"/>
    <col min="14" max="14" width="12.140625" style="6" customWidth="1"/>
    <col min="15" max="15" width="11.7109375" style="6" customWidth="1"/>
    <col min="16" max="16384" width="9.140625" style="6" customWidth="1"/>
  </cols>
  <sheetData>
    <row r="1" ht="18.75">
      <c r="A1" s="5" t="s">
        <v>33</v>
      </c>
    </row>
    <row r="2" ht="12" customHeight="1">
      <c r="A2" s="5"/>
    </row>
    <row r="3" spans="1:2" ht="16.5" customHeight="1">
      <c r="A3" s="5"/>
      <c r="B3" s="7" t="s">
        <v>32</v>
      </c>
    </row>
    <row r="4" ht="12.75">
      <c r="B4" s="8" t="s">
        <v>37</v>
      </c>
    </row>
    <row r="5" ht="12.75">
      <c r="B5" s="8"/>
    </row>
    <row r="6" ht="12.75">
      <c r="B6" s="9" t="s">
        <v>0</v>
      </c>
    </row>
    <row r="7" ht="12.75">
      <c r="B7" s="6" t="s">
        <v>51</v>
      </c>
    </row>
    <row r="8" ht="12.75">
      <c r="B8" s="6" t="s">
        <v>35</v>
      </c>
    </row>
    <row r="9" ht="12.75">
      <c r="B9" s="6" t="s">
        <v>54</v>
      </c>
    </row>
    <row r="10" ht="12.75">
      <c r="B10" s="6" t="s">
        <v>30</v>
      </c>
    </row>
    <row r="11" spans="1:2" ht="12.75">
      <c r="A11" s="9"/>
      <c r="B11" s="6" t="s">
        <v>31</v>
      </c>
    </row>
    <row r="12" ht="12.75">
      <c r="B12" s="6" t="s">
        <v>36</v>
      </c>
    </row>
    <row r="13" ht="12.75">
      <c r="B13" s="6" t="s">
        <v>55</v>
      </c>
    </row>
    <row r="14" ht="12.75">
      <c r="B14" s="6" t="s">
        <v>34</v>
      </c>
    </row>
    <row r="15" ht="12.75">
      <c r="B15" s="6" t="s">
        <v>56</v>
      </c>
    </row>
    <row r="16" spans="2:7" ht="12.75">
      <c r="B16" s="6" t="s">
        <v>52</v>
      </c>
      <c r="G16" s="10"/>
    </row>
    <row r="17" ht="12.75">
      <c r="G17" s="10"/>
    </row>
    <row r="18" ht="13.5" thickBot="1">
      <c r="G18" s="10"/>
    </row>
    <row r="19" spans="2:13" ht="14.25">
      <c r="B19" s="85" t="s">
        <v>46</v>
      </c>
      <c r="C19" s="86"/>
      <c r="D19" s="11"/>
      <c r="E19" s="87" t="s">
        <v>47</v>
      </c>
      <c r="F19" s="88"/>
      <c r="G19" s="88"/>
      <c r="H19" s="89"/>
      <c r="I19" s="12"/>
      <c r="J19" s="12"/>
      <c r="K19" s="12"/>
      <c r="L19" s="12"/>
      <c r="M19" s="13"/>
    </row>
    <row r="20" spans="1:9" ht="3.75" customHeight="1" thickBot="1">
      <c r="A20" s="14"/>
      <c r="B20" s="15"/>
      <c r="C20" s="16"/>
      <c r="D20" s="17"/>
      <c r="E20" s="15"/>
      <c r="F20" s="18"/>
      <c r="G20" s="18"/>
      <c r="H20" s="16"/>
      <c r="I20" s="17"/>
    </row>
    <row r="21" spans="1:9" ht="30" customHeight="1">
      <c r="A21" s="14"/>
      <c r="B21" s="19" t="s">
        <v>1</v>
      </c>
      <c r="C21" s="20">
        <v>0.25</v>
      </c>
      <c r="D21" s="17"/>
      <c r="E21" s="90" t="s">
        <v>39</v>
      </c>
      <c r="F21" s="91"/>
      <c r="G21" s="91"/>
      <c r="H21" s="92"/>
      <c r="I21" s="17"/>
    </row>
    <row r="22" spans="1:9" ht="27.75" customHeight="1">
      <c r="A22" s="14"/>
      <c r="B22" s="21" t="s">
        <v>44</v>
      </c>
      <c r="C22" s="22">
        <v>30</v>
      </c>
      <c r="D22" s="17"/>
      <c r="E22" s="93" t="s">
        <v>38</v>
      </c>
      <c r="F22" s="94"/>
      <c r="G22" s="24">
        <v>0.1</v>
      </c>
      <c r="H22" s="25"/>
      <c r="I22" s="4">
        <v>1</v>
      </c>
    </row>
    <row r="23" spans="1:9" ht="32.25" customHeight="1">
      <c r="A23" s="14"/>
      <c r="B23" s="21" t="s">
        <v>45</v>
      </c>
      <c r="C23" s="26">
        <v>0.07</v>
      </c>
      <c r="D23" s="17"/>
      <c r="E23" s="93" t="s">
        <v>40</v>
      </c>
      <c r="F23" s="94"/>
      <c r="G23" s="27">
        <v>3800</v>
      </c>
      <c r="H23" s="25"/>
      <c r="I23" s="17"/>
    </row>
    <row r="24" spans="1:9" ht="33.75" customHeight="1" thickBot="1">
      <c r="A24" s="14"/>
      <c r="B24" s="28" t="s">
        <v>2</v>
      </c>
      <c r="C24" s="29">
        <v>0.25</v>
      </c>
      <c r="D24" s="17"/>
      <c r="E24" s="95" t="s">
        <v>43</v>
      </c>
      <c r="F24" s="96"/>
      <c r="G24" s="30">
        <v>2100</v>
      </c>
      <c r="H24" s="16"/>
      <c r="I24" s="17"/>
    </row>
    <row r="25" spans="1:9" ht="14.25">
      <c r="A25" s="17"/>
      <c r="B25" s="31" t="s">
        <v>42</v>
      </c>
      <c r="C25" s="32"/>
      <c r="D25" s="17"/>
      <c r="E25" s="97" t="s">
        <v>48</v>
      </c>
      <c r="F25" s="98"/>
      <c r="G25" s="98"/>
      <c r="H25" s="99"/>
      <c r="I25" s="17"/>
    </row>
    <row r="26" spans="1:9" ht="4.5" customHeight="1" thickBot="1">
      <c r="A26" s="33"/>
      <c r="B26" s="15"/>
      <c r="C26" s="16"/>
      <c r="D26" s="17"/>
      <c r="E26" s="100"/>
      <c r="F26" s="101"/>
      <c r="G26" s="101"/>
      <c r="H26" s="102"/>
      <c r="I26" s="17"/>
    </row>
    <row r="27" spans="2:9" ht="18.75">
      <c r="B27" s="34" t="s">
        <v>26</v>
      </c>
      <c r="C27" s="35">
        <v>0.032</v>
      </c>
      <c r="D27" s="17"/>
      <c r="E27" s="103" t="s">
        <v>16</v>
      </c>
      <c r="F27" s="104"/>
      <c r="G27" s="105"/>
      <c r="H27" s="36">
        <f>IF(I22=1,3500*G22,IF(I22=2,3600*G22,IF(I22=3,4200*G22,3500*G22)))</f>
        <v>350</v>
      </c>
      <c r="I27" s="17"/>
    </row>
    <row r="28" spans="2:11" ht="19.5" thickBot="1">
      <c r="B28" s="23" t="s">
        <v>27</v>
      </c>
      <c r="C28" s="37">
        <v>0.022</v>
      </c>
      <c r="D28" s="17"/>
      <c r="E28" s="106" t="s">
        <v>17</v>
      </c>
      <c r="F28" s="107"/>
      <c r="G28" s="108"/>
      <c r="H28" s="38">
        <f>MIN((G24*G22),H27)</f>
        <v>210</v>
      </c>
      <c r="I28" s="1"/>
      <c r="J28" s="2"/>
      <c r="K28" s="3"/>
    </row>
    <row r="29" spans="2:11" ht="18.75">
      <c r="B29" s="23" t="s">
        <v>41</v>
      </c>
      <c r="C29" s="39">
        <f>MIN((G23*0.25),1000)</f>
        <v>950</v>
      </c>
      <c r="D29" s="17"/>
      <c r="E29" s="17"/>
      <c r="F29" s="17"/>
      <c r="G29" s="17"/>
      <c r="H29" s="1"/>
      <c r="I29" s="1"/>
      <c r="J29" s="2"/>
      <c r="K29" s="3"/>
    </row>
    <row r="30" spans="2:11" ht="39.75">
      <c r="B30" s="40" t="s">
        <v>49</v>
      </c>
      <c r="C30" s="41">
        <v>20</v>
      </c>
      <c r="D30" s="17"/>
      <c r="E30" s="17"/>
      <c r="F30" s="17"/>
      <c r="G30" s="17"/>
      <c r="H30" s="1"/>
      <c r="I30" s="1"/>
      <c r="J30" s="2"/>
      <c r="K30" s="3"/>
    </row>
    <row r="31" spans="2:11" ht="41.25" customHeight="1" thickBot="1">
      <c r="B31" s="42" t="s">
        <v>50</v>
      </c>
      <c r="C31" s="43">
        <v>50</v>
      </c>
      <c r="D31" s="17"/>
      <c r="E31" s="17"/>
      <c r="F31" s="17"/>
      <c r="G31" s="17"/>
      <c r="H31" s="1"/>
      <c r="I31" s="1"/>
      <c r="J31" s="2"/>
      <c r="K31" s="3"/>
    </row>
    <row r="32" spans="1:11" ht="13.5" thickBot="1">
      <c r="A32" s="44"/>
      <c r="B32" s="44"/>
      <c r="C32" s="17"/>
      <c r="D32" s="17"/>
      <c r="E32" s="45"/>
      <c r="F32" s="45"/>
      <c r="G32" s="1"/>
      <c r="H32" s="1"/>
      <c r="I32" s="1"/>
      <c r="J32" s="2"/>
      <c r="K32" s="3"/>
    </row>
    <row r="33" spans="1:15" ht="15.75" thickBot="1">
      <c r="A33" s="109" t="s">
        <v>19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7"/>
    </row>
    <row r="34" spans="1:14" ht="45.75" customHeight="1">
      <c r="A34" s="46" t="s">
        <v>3</v>
      </c>
      <c r="B34" s="47" t="s">
        <v>4</v>
      </c>
      <c r="C34" s="112" t="s">
        <v>5</v>
      </c>
      <c r="D34" s="113"/>
      <c r="E34" s="47" t="s">
        <v>6</v>
      </c>
      <c r="F34" s="47" t="s">
        <v>7</v>
      </c>
      <c r="G34" s="47" t="s">
        <v>8</v>
      </c>
      <c r="H34" s="47" t="s">
        <v>9</v>
      </c>
      <c r="I34" s="47" t="s">
        <v>10</v>
      </c>
      <c r="J34" s="47" t="s">
        <v>11</v>
      </c>
      <c r="K34" s="47" t="s">
        <v>12</v>
      </c>
      <c r="L34" s="47" t="s">
        <v>13</v>
      </c>
      <c r="M34" s="47" t="s">
        <v>14</v>
      </c>
      <c r="N34" s="48" t="s">
        <v>15</v>
      </c>
    </row>
    <row r="35" spans="1:14" ht="3.75" customHeight="1">
      <c r="A35" s="49"/>
      <c r="B35" s="49"/>
      <c r="C35" s="50"/>
      <c r="D35" s="51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2.75">
      <c r="A36" s="52">
        <v>0</v>
      </c>
      <c r="B36" s="53">
        <f>-C21*G23</f>
        <v>-950</v>
      </c>
      <c r="C36" s="54"/>
      <c r="D36" s="55"/>
      <c r="E36" s="56"/>
      <c r="F36" s="56"/>
      <c r="G36" s="56"/>
      <c r="I36" s="53">
        <f>SUM(B36:H36)</f>
        <v>-950</v>
      </c>
      <c r="J36" s="53">
        <f>I36</f>
        <v>-950</v>
      </c>
      <c r="K36" s="56"/>
      <c r="L36" s="56"/>
      <c r="M36" s="57">
        <f>(1+($C$27))^$A36</f>
        <v>1</v>
      </c>
      <c r="N36" s="56"/>
    </row>
    <row r="37" spans="1:14" ht="12.75">
      <c r="A37" s="58">
        <v>1</v>
      </c>
      <c r="B37" s="59"/>
      <c r="C37" s="60">
        <f>IF(A36&lt;$C$22,PMT($C$23/12,$C$22*12,$G$23*(1-$C$21))*12,0)</f>
        <v>-227.5334533512804</v>
      </c>
      <c r="D37" s="61"/>
      <c r="E37" s="62">
        <f>$H$28</f>
        <v>210</v>
      </c>
      <c r="F37" s="62">
        <f>IF(ISERR(-$C$24*K37),0,-$C$24*K37)</f>
        <v>49.64717700715389</v>
      </c>
      <c r="G37" s="62">
        <f>N37</f>
        <v>-20</v>
      </c>
      <c r="H37" s="62">
        <f>C29</f>
        <v>950</v>
      </c>
      <c r="I37" s="62">
        <f>SUM(B37:H37)</f>
        <v>962.1137236558735</v>
      </c>
      <c r="J37" s="62">
        <f>J36+I37</f>
        <v>12.113723655873514</v>
      </c>
      <c r="K37" s="62">
        <f>IPMT($C$23/12,6.5,$C$22*12,$G$23*(1-$C$21))*12</f>
        <v>-198.58870802861557</v>
      </c>
      <c r="L37" s="62">
        <f>((1-$C$21)*$G$23)+C37-K37</f>
        <v>2821.055254677335</v>
      </c>
      <c r="M37" s="63">
        <f>(1+($C$27))^$A37</f>
        <v>1.032</v>
      </c>
      <c r="N37" s="62">
        <f>-IF($C$30="",0,$C$30)</f>
        <v>-20</v>
      </c>
    </row>
    <row r="38" spans="1:14" ht="12.75">
      <c r="A38" s="58">
        <v>2</v>
      </c>
      <c r="B38" s="59"/>
      <c r="C38" s="60">
        <f aca="true" t="shared" si="0" ref="C38:C66">IF(A37&lt;$C$22,PMT($C$23/12,$C$22*12,$G$23*(1-$C$21))*12,0)</f>
        <v>-227.5334533512804</v>
      </c>
      <c r="D38" s="61"/>
      <c r="E38" s="62">
        <f>E37*(1+($C$28))</f>
        <v>214.62</v>
      </c>
      <c r="F38" s="62">
        <f>IF(ISERR(-$C$24*K38),0,-$C$24*K38)</f>
        <v>49.124174116160574</v>
      </c>
      <c r="G38" s="62">
        <f>N38*M37</f>
        <v>-20.64</v>
      </c>
      <c r="H38" s="59"/>
      <c r="I38" s="62">
        <f aca="true" t="shared" si="1" ref="I38:I66">SUM(B38:H38)</f>
        <v>15.570720764880178</v>
      </c>
      <c r="J38" s="62">
        <f aca="true" t="shared" si="2" ref="J38:J66">J37+I38</f>
        <v>27.684444420753692</v>
      </c>
      <c r="K38" s="62">
        <f>IF(ISERR(IPMT($C$23/12,6.5,$C$22*12,L37)*12),0,IPMT($C$23/12,6.5,($C$22-A37)*12,L37)*12)</f>
        <v>-196.4966964646423</v>
      </c>
      <c r="L38" s="62">
        <f>L37+C38-K38</f>
        <v>2790.018497790697</v>
      </c>
      <c r="M38" s="63">
        <f aca="true" t="shared" si="3" ref="M38:M66">(1+($C$27))^$A38</f>
        <v>1.065024</v>
      </c>
      <c r="N38" s="62">
        <f aca="true" t="shared" si="4" ref="N38:N66">-IF($C$30="",0,$C$30)</f>
        <v>-20</v>
      </c>
    </row>
    <row r="39" spans="1:14" ht="12.75">
      <c r="A39" s="58">
        <v>3</v>
      </c>
      <c r="B39" s="59"/>
      <c r="C39" s="60">
        <f t="shared" si="0"/>
        <v>-227.5334533512804</v>
      </c>
      <c r="D39" s="61"/>
      <c r="E39" s="62">
        <f aca="true" t="shared" si="5" ref="E39:E66">E38*(1+($C$28))</f>
        <v>219.34164</v>
      </c>
      <c r="F39" s="62">
        <f aca="true" t="shared" si="6" ref="F39:F66">IF(ISERR(-$C$24*K39),0,-$C$24*K39)</f>
        <v>48.56337028982148</v>
      </c>
      <c r="G39" s="62">
        <f aca="true" t="shared" si="7" ref="G39:G64">N39*M38</f>
        <v>-21.30048</v>
      </c>
      <c r="H39" s="59"/>
      <c r="I39" s="62">
        <f t="shared" si="1"/>
        <v>19.07107693854109</v>
      </c>
      <c r="J39" s="62">
        <f t="shared" si="2"/>
        <v>46.75552135929478</v>
      </c>
      <c r="K39" s="62">
        <f aca="true" t="shared" si="8" ref="K39:K66">IF(ISERR(IPMT($C$23/12,6.5,$C$22*12,L38)*12),0,IPMT($C$23/12,6.5,($C$22-A38)*12,L38)*12)</f>
        <v>-194.2534811592859</v>
      </c>
      <c r="L39" s="62">
        <f aca="true" t="shared" si="9" ref="L39:L66">L38+C39-K39</f>
        <v>2756.7385255987024</v>
      </c>
      <c r="M39" s="63">
        <f t="shared" si="3"/>
        <v>1.099104768</v>
      </c>
      <c r="N39" s="62">
        <f t="shared" si="4"/>
        <v>-20</v>
      </c>
    </row>
    <row r="40" spans="1:14" ht="12.75">
      <c r="A40" s="58">
        <v>4</v>
      </c>
      <c r="B40" s="59"/>
      <c r="C40" s="60">
        <f t="shared" si="0"/>
        <v>-227.5334533512804</v>
      </c>
      <c r="D40" s="61"/>
      <c r="E40" s="62">
        <f t="shared" si="5"/>
        <v>224.16715608</v>
      </c>
      <c r="F40" s="62">
        <f t="shared" si="6"/>
        <v>47.962033354997565</v>
      </c>
      <c r="G40" s="62">
        <f t="shared" si="7"/>
        <v>-21.98209536</v>
      </c>
      <c r="H40" s="59"/>
      <c r="I40" s="62">
        <f t="shared" si="1"/>
        <v>22.61364072371718</v>
      </c>
      <c r="J40" s="62">
        <f t="shared" si="2"/>
        <v>69.36916208301196</v>
      </c>
      <c r="K40" s="62">
        <f t="shared" si="8"/>
        <v>-191.84813341999026</v>
      </c>
      <c r="L40" s="62">
        <f t="shared" si="9"/>
        <v>2721.053205667412</v>
      </c>
      <c r="M40" s="63">
        <f t="shared" si="3"/>
        <v>1.134276120576</v>
      </c>
      <c r="N40" s="62">
        <f t="shared" si="4"/>
        <v>-20</v>
      </c>
    </row>
    <row r="41" spans="1:14" ht="12.75">
      <c r="A41" s="58">
        <v>5</v>
      </c>
      <c r="B41" s="59"/>
      <c r="C41" s="60">
        <f t="shared" si="0"/>
        <v>-227.5334533512804</v>
      </c>
      <c r="D41" s="61"/>
      <c r="E41" s="62">
        <f t="shared" si="5"/>
        <v>229.09883351376</v>
      </c>
      <c r="F41" s="62">
        <f t="shared" si="6"/>
        <v>47.31723365471387</v>
      </c>
      <c r="G41" s="62">
        <f t="shared" si="7"/>
        <v>-22.685522411519997</v>
      </c>
      <c r="H41" s="59"/>
      <c r="I41" s="62">
        <f t="shared" si="1"/>
        <v>26.197091405673483</v>
      </c>
      <c r="J41" s="62">
        <f t="shared" si="2"/>
        <v>95.56625348868545</v>
      </c>
      <c r="K41" s="62">
        <f t="shared" si="8"/>
        <v>-189.26893461885547</v>
      </c>
      <c r="L41" s="62">
        <f t="shared" si="9"/>
        <v>2682.788686934987</v>
      </c>
      <c r="M41" s="63">
        <f t="shared" si="3"/>
        <v>1.170572956434432</v>
      </c>
      <c r="N41" s="62">
        <f t="shared" si="4"/>
        <v>-20</v>
      </c>
    </row>
    <row r="42" spans="1:14" ht="12.75">
      <c r="A42" s="58">
        <v>6</v>
      </c>
      <c r="B42" s="59"/>
      <c r="C42" s="60">
        <f t="shared" si="0"/>
        <v>-227.5334533512804</v>
      </c>
      <c r="D42" s="61"/>
      <c r="E42" s="62">
        <f t="shared" si="5"/>
        <v>234.13900785106273</v>
      </c>
      <c r="F42" s="62">
        <f t="shared" si="6"/>
        <v>46.62582977202175</v>
      </c>
      <c r="G42" s="62">
        <f t="shared" si="7"/>
        <v>-23.41145912868864</v>
      </c>
      <c r="H42" s="59"/>
      <c r="I42" s="62">
        <f t="shared" si="1"/>
        <v>29.81992514311544</v>
      </c>
      <c r="J42" s="62">
        <f t="shared" si="2"/>
        <v>125.38617863180089</v>
      </c>
      <c r="K42" s="62">
        <f t="shared" si="8"/>
        <v>-186.503319088087</v>
      </c>
      <c r="L42" s="62">
        <f t="shared" si="9"/>
        <v>2641.7585526717935</v>
      </c>
      <c r="M42" s="63">
        <f t="shared" si="3"/>
        <v>1.2080312910403337</v>
      </c>
      <c r="N42" s="62">
        <f t="shared" si="4"/>
        <v>-20</v>
      </c>
    </row>
    <row r="43" spans="1:14" ht="12.75">
      <c r="A43" s="58">
        <v>7</v>
      </c>
      <c r="B43" s="59"/>
      <c r="C43" s="60">
        <f t="shared" si="0"/>
        <v>-227.5334533512804</v>
      </c>
      <c r="D43" s="61"/>
      <c r="E43" s="62">
        <f t="shared" si="5"/>
        <v>239.29006602378612</v>
      </c>
      <c r="F43" s="62">
        <f t="shared" si="6"/>
        <v>45.884453221330034</v>
      </c>
      <c r="G43" s="62">
        <f t="shared" si="7"/>
        <v>-24.160625820806672</v>
      </c>
      <c r="H43" s="59"/>
      <c r="I43" s="62">
        <f t="shared" si="1"/>
        <v>33.48044007302909</v>
      </c>
      <c r="J43" s="62">
        <f t="shared" si="2"/>
        <v>158.86661870483</v>
      </c>
      <c r="K43" s="62">
        <f t="shared" si="8"/>
        <v>-183.53781288532014</v>
      </c>
      <c r="L43" s="62">
        <f t="shared" si="9"/>
        <v>2597.7629122058333</v>
      </c>
      <c r="M43" s="63">
        <f t="shared" si="3"/>
        <v>1.2466882923536242</v>
      </c>
      <c r="N43" s="62">
        <f t="shared" si="4"/>
        <v>-20</v>
      </c>
    </row>
    <row r="44" spans="1:14" ht="12.75">
      <c r="A44" s="58">
        <v>8</v>
      </c>
      <c r="B44" s="59"/>
      <c r="C44" s="60">
        <f t="shared" si="0"/>
        <v>-227.5334533512804</v>
      </c>
      <c r="D44" s="61"/>
      <c r="E44" s="62">
        <f t="shared" si="5"/>
        <v>244.55444747630943</v>
      </c>
      <c r="F44" s="62">
        <f t="shared" si="6"/>
        <v>45.08949203236176</v>
      </c>
      <c r="G44" s="62">
        <f t="shared" si="7"/>
        <v>-24.933765847072486</v>
      </c>
      <c r="H44" s="59"/>
      <c r="I44" s="62">
        <f t="shared" si="1"/>
        <v>37.17672031031831</v>
      </c>
      <c r="J44" s="62">
        <f t="shared" si="2"/>
        <v>196.0433390151483</v>
      </c>
      <c r="K44" s="62">
        <f t="shared" si="8"/>
        <v>-180.35796812944704</v>
      </c>
      <c r="L44" s="62">
        <f t="shared" si="9"/>
        <v>2550.5874269839996</v>
      </c>
      <c r="M44" s="63">
        <f t="shared" si="3"/>
        <v>1.2865823177089404</v>
      </c>
      <c r="N44" s="62">
        <f t="shared" si="4"/>
        <v>-20</v>
      </c>
    </row>
    <row r="45" spans="1:14" ht="12.75">
      <c r="A45" s="58">
        <v>9</v>
      </c>
      <c r="B45" s="59"/>
      <c r="C45" s="60">
        <f t="shared" si="0"/>
        <v>-227.5334533512804</v>
      </c>
      <c r="D45" s="61"/>
      <c r="E45" s="62">
        <f t="shared" si="5"/>
        <v>249.93464532078823</v>
      </c>
      <c r="F45" s="62">
        <f t="shared" si="6"/>
        <v>44.2370731464054</v>
      </c>
      <c r="G45" s="62">
        <f t="shared" si="7"/>
        <v>-25.731646354178807</v>
      </c>
      <c r="H45" s="59"/>
      <c r="I45" s="62">
        <f t="shared" si="1"/>
        <v>40.906618761734435</v>
      </c>
      <c r="J45" s="62">
        <f t="shared" si="2"/>
        <v>236.94995777688274</v>
      </c>
      <c r="K45" s="62">
        <f t="shared" si="8"/>
        <v>-176.9482925856216</v>
      </c>
      <c r="L45" s="62">
        <f t="shared" si="9"/>
        <v>2500.0022662183405</v>
      </c>
      <c r="M45" s="63">
        <f t="shared" si="3"/>
        <v>1.3277529518756266</v>
      </c>
      <c r="N45" s="62">
        <f t="shared" si="4"/>
        <v>-20</v>
      </c>
    </row>
    <row r="46" spans="1:14" ht="12.75">
      <c r="A46" s="58">
        <v>10</v>
      </c>
      <c r="B46" s="59"/>
      <c r="C46" s="60">
        <f t="shared" si="0"/>
        <v>-227.5334533512804</v>
      </c>
      <c r="D46" s="61"/>
      <c r="E46" s="62">
        <f t="shared" si="5"/>
        <v>255.43320751784557</v>
      </c>
      <c r="F46" s="62">
        <f t="shared" si="6"/>
        <v>43.32304353861139</v>
      </c>
      <c r="G46" s="62">
        <f t="shared" si="7"/>
        <v>-26.55505903751253</v>
      </c>
      <c r="H46" s="59"/>
      <c r="I46" s="62">
        <f t="shared" si="1"/>
        <v>44.667738667664025</v>
      </c>
      <c r="J46" s="62">
        <f t="shared" si="2"/>
        <v>281.61769644454677</v>
      </c>
      <c r="K46" s="62">
        <f t="shared" si="8"/>
        <v>-173.29217415444555</v>
      </c>
      <c r="L46" s="62">
        <f t="shared" si="9"/>
        <v>2445.7609870215056</v>
      </c>
      <c r="M46" s="63">
        <f t="shared" si="3"/>
        <v>1.3702410463356465</v>
      </c>
      <c r="N46" s="62">
        <f t="shared" si="4"/>
        <v>-20</v>
      </c>
    </row>
    <row r="47" spans="1:14" ht="12.75">
      <c r="A47" s="58">
        <v>11</v>
      </c>
      <c r="B47" s="59"/>
      <c r="C47" s="60">
        <f t="shared" si="0"/>
        <v>-227.5334533512804</v>
      </c>
      <c r="D47" s="61"/>
      <c r="E47" s="62">
        <f t="shared" si="5"/>
        <v>261.0527380832382</v>
      </c>
      <c r="F47" s="62">
        <f t="shared" si="6"/>
        <v>42.34294997368896</v>
      </c>
      <c r="G47" s="62">
        <f t="shared" si="7"/>
        <v>-27.40482092671293</v>
      </c>
      <c r="H47" s="59"/>
      <c r="I47" s="62">
        <f t="shared" si="1"/>
        <v>48.45741377893381</v>
      </c>
      <c r="J47" s="62">
        <f t="shared" si="2"/>
        <v>330.0751102234806</v>
      </c>
      <c r="K47" s="62">
        <f t="shared" si="8"/>
        <v>-169.37179989475584</v>
      </c>
      <c r="L47" s="62">
        <f t="shared" si="9"/>
        <v>2387.599333564981</v>
      </c>
      <c r="M47" s="63">
        <f t="shared" si="3"/>
        <v>1.414088759818387</v>
      </c>
      <c r="N47" s="62">
        <f t="shared" si="4"/>
        <v>-20</v>
      </c>
    </row>
    <row r="48" spans="1:14" ht="12.75">
      <c r="A48" s="58">
        <v>12</v>
      </c>
      <c r="B48" s="59"/>
      <c r="C48" s="60">
        <f t="shared" si="0"/>
        <v>-227.5334533512804</v>
      </c>
      <c r="D48" s="61"/>
      <c r="E48" s="62">
        <f t="shared" si="5"/>
        <v>266.79589832106944</v>
      </c>
      <c r="F48" s="62">
        <f t="shared" si="6"/>
        <v>41.29201729542377</v>
      </c>
      <c r="G48" s="62">
        <f t="shared" si="7"/>
        <v>-28.281775196367743</v>
      </c>
      <c r="H48" s="59"/>
      <c r="I48" s="62">
        <f t="shared" si="1"/>
        <v>52.27268706884506</v>
      </c>
      <c r="J48" s="62">
        <f t="shared" si="2"/>
        <v>382.34779729232565</v>
      </c>
      <c r="K48" s="62">
        <f t="shared" si="8"/>
        <v>-165.16806918169507</v>
      </c>
      <c r="L48" s="62">
        <f t="shared" si="9"/>
        <v>2325.2339493953955</v>
      </c>
      <c r="M48" s="63">
        <f t="shared" si="3"/>
        <v>1.4593396001325756</v>
      </c>
      <c r="N48" s="62">
        <f t="shared" si="4"/>
        <v>-20</v>
      </c>
    </row>
    <row r="49" spans="1:14" ht="12.75">
      <c r="A49" s="58">
        <v>13</v>
      </c>
      <c r="B49" s="59"/>
      <c r="C49" s="60">
        <f t="shared" si="0"/>
        <v>-227.5334533512804</v>
      </c>
      <c r="D49" s="61"/>
      <c r="E49" s="62">
        <f t="shared" si="5"/>
        <v>272.665408084133</v>
      </c>
      <c r="F49" s="62">
        <f t="shared" si="6"/>
        <v>40.16512514288202</v>
      </c>
      <c r="G49" s="62">
        <f t="shared" si="7"/>
        <v>-29.18679200265151</v>
      </c>
      <c r="H49" s="59"/>
      <c r="I49" s="62">
        <f t="shared" si="1"/>
        <v>56.110287873083095</v>
      </c>
      <c r="J49" s="62">
        <f t="shared" si="2"/>
        <v>438.45808516540876</v>
      </c>
      <c r="K49" s="62">
        <f t="shared" si="8"/>
        <v>-160.66050057152808</v>
      </c>
      <c r="L49" s="62">
        <f t="shared" si="9"/>
        <v>2258.360996615643</v>
      </c>
      <c r="M49" s="63">
        <f t="shared" si="3"/>
        <v>1.5060384673368181</v>
      </c>
      <c r="N49" s="62">
        <f t="shared" si="4"/>
        <v>-20</v>
      </c>
    </row>
    <row r="50" spans="1:14" ht="12.75">
      <c r="A50" s="58">
        <v>14</v>
      </c>
      <c r="B50" s="59"/>
      <c r="C50" s="60">
        <f t="shared" si="0"/>
        <v>-227.5334533512804</v>
      </c>
      <c r="D50" s="61"/>
      <c r="E50" s="62">
        <f t="shared" si="5"/>
        <v>278.6640470619839</v>
      </c>
      <c r="F50" s="62">
        <f t="shared" si="6"/>
        <v>38.956782977877495</v>
      </c>
      <c r="G50" s="62">
        <f t="shared" si="7"/>
        <v>-30.120769346736363</v>
      </c>
      <c r="H50" s="59"/>
      <c r="I50" s="62">
        <f t="shared" si="1"/>
        <v>59.96660734184465</v>
      </c>
      <c r="J50" s="62">
        <f t="shared" si="2"/>
        <v>498.42469250725344</v>
      </c>
      <c r="K50" s="62">
        <f t="shared" si="8"/>
        <v>-155.82713191150998</v>
      </c>
      <c r="L50" s="62">
        <f t="shared" si="9"/>
        <v>2186.654675175873</v>
      </c>
      <c r="M50" s="63">
        <f t="shared" si="3"/>
        <v>1.554231698291596</v>
      </c>
      <c r="N50" s="62">
        <f t="shared" si="4"/>
        <v>-20</v>
      </c>
    </row>
    <row r="51" spans="1:14" ht="12.75">
      <c r="A51" s="58">
        <v>15</v>
      </c>
      <c r="B51" s="59"/>
      <c r="C51" s="60">
        <f t="shared" si="0"/>
        <v>-227.5334533512804</v>
      </c>
      <c r="D51" s="61"/>
      <c r="E51" s="62">
        <f t="shared" si="5"/>
        <v>284.79465609734757</v>
      </c>
      <c r="F51" s="62">
        <f t="shared" si="6"/>
        <v>37.66110329908356</v>
      </c>
      <c r="G51" s="62">
        <f t="shared" si="7"/>
        <v>-108.79621888041171</v>
      </c>
      <c r="H51" s="59"/>
      <c r="I51" s="62">
        <f t="shared" si="1"/>
        <v>-13.873912835260995</v>
      </c>
      <c r="J51" s="62">
        <f t="shared" si="2"/>
        <v>484.5507796719925</v>
      </c>
      <c r="K51" s="62">
        <f t="shared" si="8"/>
        <v>-150.64441319633423</v>
      </c>
      <c r="L51" s="62">
        <f t="shared" si="9"/>
        <v>2109.7656350209268</v>
      </c>
      <c r="M51" s="63">
        <f t="shared" si="3"/>
        <v>1.6039671126369268</v>
      </c>
      <c r="N51" s="62">
        <f>-IF($C$30="",0,$C$30)-C31</f>
        <v>-70</v>
      </c>
    </row>
    <row r="52" spans="1:14" ht="12.75">
      <c r="A52" s="58">
        <v>16</v>
      </c>
      <c r="B52" s="59"/>
      <c r="C52" s="60">
        <f t="shared" si="0"/>
        <v>-227.5334533512804</v>
      </c>
      <c r="D52" s="61"/>
      <c r="E52" s="62">
        <f t="shared" si="5"/>
        <v>291.0601385314892</v>
      </c>
      <c r="F52" s="62">
        <f t="shared" si="6"/>
        <v>36.27177290780357</v>
      </c>
      <c r="G52" s="62">
        <f t="shared" si="7"/>
        <v>-32.079342252738535</v>
      </c>
      <c r="H52" s="59"/>
      <c r="I52" s="62">
        <f t="shared" si="1"/>
        <v>67.71911583527384</v>
      </c>
      <c r="J52" s="62">
        <f t="shared" si="2"/>
        <v>552.2698955072663</v>
      </c>
      <c r="K52" s="62">
        <f t="shared" si="8"/>
        <v>-145.0870916312143</v>
      </c>
      <c r="L52" s="62">
        <f t="shared" si="9"/>
        <v>2027.3192733008605</v>
      </c>
      <c r="M52" s="63">
        <f t="shared" si="3"/>
        <v>1.6552940602413089</v>
      </c>
      <c r="N52" s="62">
        <f t="shared" si="4"/>
        <v>-20</v>
      </c>
    </row>
    <row r="53" spans="1:14" ht="12.75">
      <c r="A53" s="58">
        <v>17</v>
      </c>
      <c r="B53" s="59"/>
      <c r="C53" s="60">
        <f t="shared" si="0"/>
        <v>-227.5334533512804</v>
      </c>
      <c r="D53" s="61"/>
      <c r="E53" s="62">
        <f t="shared" si="5"/>
        <v>297.46346157918197</v>
      </c>
      <c r="F53" s="62">
        <f t="shared" si="6"/>
        <v>34.78202207842406</v>
      </c>
      <c r="G53" s="62">
        <f t="shared" si="7"/>
        <v>-33.105881204826176</v>
      </c>
      <c r="H53" s="59"/>
      <c r="I53" s="62">
        <f t="shared" si="1"/>
        <v>71.60614910149945</v>
      </c>
      <c r="J53" s="62">
        <f t="shared" si="2"/>
        <v>623.8760446087657</v>
      </c>
      <c r="K53" s="62">
        <f t="shared" si="8"/>
        <v>-139.12808831369625</v>
      </c>
      <c r="L53" s="62">
        <f t="shared" si="9"/>
        <v>1938.9139082632762</v>
      </c>
      <c r="M53" s="63">
        <f t="shared" si="3"/>
        <v>1.708263470169031</v>
      </c>
      <c r="N53" s="62">
        <f t="shared" si="4"/>
        <v>-20</v>
      </c>
    </row>
    <row r="54" spans="1:14" ht="12.75">
      <c r="A54" s="58">
        <v>18</v>
      </c>
      <c r="B54" s="59"/>
      <c r="C54" s="60">
        <f t="shared" si="0"/>
        <v>-227.5334533512804</v>
      </c>
      <c r="D54" s="61"/>
      <c r="E54" s="62">
        <f t="shared" si="5"/>
        <v>304.00765773392396</v>
      </c>
      <c r="F54" s="62">
        <f t="shared" si="6"/>
        <v>33.18459147217748</v>
      </c>
      <c r="G54" s="62">
        <f t="shared" si="7"/>
        <v>-34.16526940338062</v>
      </c>
      <c r="H54" s="59"/>
      <c r="I54" s="62">
        <f t="shared" si="1"/>
        <v>75.49352645144043</v>
      </c>
      <c r="J54" s="62">
        <f t="shared" si="2"/>
        <v>699.3695710602061</v>
      </c>
      <c r="K54" s="62">
        <f t="shared" si="8"/>
        <v>-132.73836588870992</v>
      </c>
      <c r="L54" s="62">
        <f t="shared" si="9"/>
        <v>1844.1188208007059</v>
      </c>
      <c r="M54" s="63">
        <f t="shared" si="3"/>
        <v>1.7629279012144397</v>
      </c>
      <c r="N54" s="62">
        <f t="shared" si="4"/>
        <v>-20</v>
      </c>
    </row>
    <row r="55" spans="1:14" ht="12.75">
      <c r="A55" s="58">
        <v>19</v>
      </c>
      <c r="B55" s="59"/>
      <c r="C55" s="60">
        <f t="shared" si="0"/>
        <v>-227.5334533512804</v>
      </c>
      <c r="D55" s="61"/>
      <c r="E55" s="62">
        <f t="shared" si="5"/>
        <v>310.6958262040703</v>
      </c>
      <c r="F55" s="62">
        <f t="shared" si="6"/>
        <v>31.47169661458454</v>
      </c>
      <c r="G55" s="62">
        <f t="shared" si="7"/>
        <v>-35.258558024288796</v>
      </c>
      <c r="H55" s="59"/>
      <c r="I55" s="62">
        <f t="shared" si="1"/>
        <v>79.37551144308563</v>
      </c>
      <c r="J55" s="62">
        <f t="shared" si="2"/>
        <v>778.7450825032918</v>
      </c>
      <c r="K55" s="62">
        <f t="shared" si="8"/>
        <v>-125.88678645833816</v>
      </c>
      <c r="L55" s="62">
        <f t="shared" si="9"/>
        <v>1742.4721539077636</v>
      </c>
      <c r="M55" s="63">
        <f t="shared" si="3"/>
        <v>1.8193415940533015</v>
      </c>
      <c r="N55" s="62">
        <f t="shared" si="4"/>
        <v>-20</v>
      </c>
    </row>
    <row r="56" spans="1:14" ht="12.75">
      <c r="A56" s="58">
        <v>20</v>
      </c>
      <c r="B56" s="59"/>
      <c r="C56" s="60">
        <f t="shared" si="0"/>
        <v>-227.5334533512804</v>
      </c>
      <c r="D56" s="61"/>
      <c r="E56" s="62">
        <f t="shared" si="5"/>
        <v>317.5311343805598</v>
      </c>
      <c r="F56" s="62">
        <f t="shared" si="6"/>
        <v>29.634989731993887</v>
      </c>
      <c r="G56" s="62">
        <f t="shared" si="7"/>
        <v>-36.38683188106603</v>
      </c>
      <c r="H56" s="59"/>
      <c r="I56" s="62">
        <f t="shared" si="1"/>
        <v>83.24583888020727</v>
      </c>
      <c r="J56" s="62">
        <f t="shared" si="2"/>
        <v>861.9909213834991</v>
      </c>
      <c r="K56" s="62">
        <f t="shared" si="8"/>
        <v>-118.53995892797555</v>
      </c>
      <c r="L56" s="62">
        <f t="shared" si="9"/>
        <v>1633.4786594844586</v>
      </c>
      <c r="M56" s="63">
        <f t="shared" si="3"/>
        <v>1.8775605250630074</v>
      </c>
      <c r="N56" s="62">
        <f t="shared" si="4"/>
        <v>-20</v>
      </c>
    </row>
    <row r="57" spans="1:14" ht="12.75">
      <c r="A57" s="58">
        <v>21</v>
      </c>
      <c r="B57" s="59"/>
      <c r="C57" s="60">
        <f t="shared" si="0"/>
        <v>-227.5334533512804</v>
      </c>
      <c r="D57" s="61"/>
      <c r="E57" s="62">
        <f t="shared" si="5"/>
        <v>324.51681933693214</v>
      </c>
      <c r="F57" s="62">
        <f t="shared" si="6"/>
        <v>27.665518705148116</v>
      </c>
      <c r="G57" s="62">
        <f t="shared" si="7"/>
        <v>-37.55121050126015</v>
      </c>
      <c r="H57" s="59"/>
      <c r="I57" s="62">
        <f t="shared" si="1"/>
        <v>87.0976741895397</v>
      </c>
      <c r="J57" s="62">
        <f t="shared" si="2"/>
        <v>949.0885955730388</v>
      </c>
      <c r="K57" s="62">
        <f t="shared" si="8"/>
        <v>-110.66207482059247</v>
      </c>
      <c r="L57" s="62">
        <f t="shared" si="9"/>
        <v>1516.6072809537704</v>
      </c>
      <c r="M57" s="63">
        <f t="shared" si="3"/>
        <v>1.9376424618650239</v>
      </c>
      <c r="N57" s="62">
        <f t="shared" si="4"/>
        <v>-20</v>
      </c>
    </row>
    <row r="58" spans="1:14" ht="12.75">
      <c r="A58" s="58">
        <v>22</v>
      </c>
      <c r="B58" s="59"/>
      <c r="C58" s="60">
        <f t="shared" si="0"/>
        <v>-227.5334533512804</v>
      </c>
      <c r="D58" s="61"/>
      <c r="E58" s="62">
        <f t="shared" si="5"/>
        <v>331.65618936234466</v>
      </c>
      <c r="F58" s="62">
        <f t="shared" si="6"/>
        <v>25.553682834888292</v>
      </c>
      <c r="G58" s="62">
        <f t="shared" si="7"/>
        <v>-38.75284923730048</v>
      </c>
      <c r="H58" s="59"/>
      <c r="I58" s="62">
        <f t="shared" si="1"/>
        <v>90.92356960865207</v>
      </c>
      <c r="J58" s="62">
        <f t="shared" si="2"/>
        <v>1040.0121651816908</v>
      </c>
      <c r="K58" s="62">
        <f t="shared" si="8"/>
        <v>-102.21473133955317</v>
      </c>
      <c r="L58" s="62">
        <f t="shared" si="9"/>
        <v>1391.288558942043</v>
      </c>
      <c r="M58" s="63">
        <f t="shared" si="3"/>
        <v>1.9996470206447043</v>
      </c>
      <c r="N58" s="62">
        <f t="shared" si="4"/>
        <v>-20</v>
      </c>
    </row>
    <row r="59" spans="1:14" ht="12.75">
      <c r="A59" s="58">
        <v>23</v>
      </c>
      <c r="B59" s="59"/>
      <c r="C59" s="60">
        <f t="shared" si="0"/>
        <v>-227.5334533512804</v>
      </c>
      <c r="D59" s="61"/>
      <c r="E59" s="62">
        <f t="shared" si="5"/>
        <v>338.9526255283163</v>
      </c>
      <c r="F59" s="62">
        <f t="shared" si="6"/>
        <v>23.28918499694987</v>
      </c>
      <c r="G59" s="62">
        <f t="shared" si="7"/>
        <v>-39.992940412894086</v>
      </c>
      <c r="H59" s="59"/>
      <c r="I59" s="62">
        <f t="shared" si="1"/>
        <v>94.71541676109166</v>
      </c>
      <c r="J59" s="62">
        <f t="shared" si="2"/>
        <v>1134.7275819427823</v>
      </c>
      <c r="K59" s="62">
        <f t="shared" si="8"/>
        <v>-93.15673998779948</v>
      </c>
      <c r="L59" s="62">
        <f t="shared" si="9"/>
        <v>1256.911845578562</v>
      </c>
      <c r="M59" s="63">
        <f t="shared" si="3"/>
        <v>2.0636357253053346</v>
      </c>
      <c r="N59" s="62">
        <f t="shared" si="4"/>
        <v>-20</v>
      </c>
    </row>
    <row r="60" spans="1:14" ht="12.75">
      <c r="A60" s="58">
        <v>24</v>
      </c>
      <c r="B60" s="59"/>
      <c r="C60" s="60">
        <f t="shared" si="0"/>
        <v>-227.5334533512804</v>
      </c>
      <c r="D60" s="61"/>
      <c r="E60" s="62">
        <f t="shared" si="5"/>
        <v>346.40958328993923</v>
      </c>
      <c r="F60" s="62">
        <f t="shared" si="6"/>
        <v>20.860979512965464</v>
      </c>
      <c r="G60" s="62">
        <f t="shared" si="7"/>
        <v>-41.272714506106695</v>
      </c>
      <c r="H60" s="59"/>
      <c r="I60" s="62">
        <f t="shared" si="1"/>
        <v>98.4643949455176</v>
      </c>
      <c r="J60" s="62">
        <f t="shared" si="2"/>
        <v>1233.1919768883</v>
      </c>
      <c r="K60" s="62">
        <f t="shared" si="8"/>
        <v>-83.44391805186186</v>
      </c>
      <c r="L60" s="62">
        <f t="shared" si="9"/>
        <v>1112.8223102791433</v>
      </c>
      <c r="M60" s="63">
        <f t="shared" si="3"/>
        <v>2.1296720685151054</v>
      </c>
      <c r="N60" s="62">
        <f t="shared" si="4"/>
        <v>-20</v>
      </c>
    </row>
    <row r="61" spans="1:14" ht="12.75">
      <c r="A61" s="58">
        <v>25</v>
      </c>
      <c r="B61" s="59"/>
      <c r="C61" s="60">
        <f t="shared" si="0"/>
        <v>-227.5334533512804</v>
      </c>
      <c r="D61" s="61"/>
      <c r="E61" s="62">
        <f t="shared" si="5"/>
        <v>354.0305941223179</v>
      </c>
      <c r="F61" s="62">
        <f t="shared" si="6"/>
        <v>18.25721446918663</v>
      </c>
      <c r="G61" s="62">
        <f t="shared" si="7"/>
        <v>-42.59344137030211</v>
      </c>
      <c r="H61" s="59"/>
      <c r="I61" s="62">
        <f t="shared" si="1"/>
        <v>102.16091386992201</v>
      </c>
      <c r="J61" s="62">
        <f t="shared" si="2"/>
        <v>1335.352890758222</v>
      </c>
      <c r="K61" s="62">
        <f t="shared" si="8"/>
        <v>-73.02885787674651</v>
      </c>
      <c r="L61" s="62">
        <f t="shared" si="9"/>
        <v>958.3177148046094</v>
      </c>
      <c r="M61" s="63">
        <f t="shared" si="3"/>
        <v>2.1978215747075893</v>
      </c>
      <c r="N61" s="62">
        <f t="shared" si="4"/>
        <v>-20</v>
      </c>
    </row>
    <row r="62" spans="1:14" ht="12.75">
      <c r="A62" s="58">
        <v>26</v>
      </c>
      <c r="B62" s="59"/>
      <c r="C62" s="60">
        <f t="shared" si="0"/>
        <v>-227.5334533512804</v>
      </c>
      <c r="D62" s="61"/>
      <c r="E62" s="62">
        <f t="shared" si="5"/>
        <v>361.8192671930089</v>
      </c>
      <c r="F62" s="62">
        <f t="shared" si="6"/>
        <v>15.465165594773943</v>
      </c>
      <c r="G62" s="62">
        <f t="shared" si="7"/>
        <v>-43.956431494151786</v>
      </c>
      <c r="H62" s="59"/>
      <c r="I62" s="62">
        <f t="shared" si="1"/>
        <v>105.79454794235065</v>
      </c>
      <c r="J62" s="62">
        <f t="shared" si="2"/>
        <v>1441.1474387005726</v>
      </c>
      <c r="K62" s="62">
        <f t="shared" si="8"/>
        <v>-61.86066237909577</v>
      </c>
      <c r="L62" s="62">
        <f t="shared" si="9"/>
        <v>792.6449238324248</v>
      </c>
      <c r="M62" s="63">
        <f t="shared" si="3"/>
        <v>2.2681518650982317</v>
      </c>
      <c r="N62" s="62">
        <f t="shared" si="4"/>
        <v>-20</v>
      </c>
    </row>
    <row r="63" spans="1:14" ht="12.75">
      <c r="A63" s="58">
        <v>27</v>
      </c>
      <c r="B63" s="59"/>
      <c r="C63" s="60">
        <f t="shared" si="0"/>
        <v>-227.5334533512804</v>
      </c>
      <c r="D63" s="61"/>
      <c r="E63" s="62">
        <f t="shared" si="5"/>
        <v>369.7792910712551</v>
      </c>
      <c r="F63" s="62">
        <f t="shared" si="6"/>
        <v>12.4711536491023</v>
      </c>
      <c r="G63" s="62">
        <f t="shared" si="7"/>
        <v>-45.36303730196464</v>
      </c>
      <c r="H63" s="59"/>
      <c r="I63" s="62">
        <f t="shared" si="1"/>
        <v>109.35395406711235</v>
      </c>
      <c r="J63" s="62">
        <f t="shared" si="2"/>
        <v>1550.501392767685</v>
      </c>
      <c r="K63" s="62">
        <f t="shared" si="8"/>
        <v>-49.8846145964092</v>
      </c>
      <c r="L63" s="62">
        <f t="shared" si="9"/>
        <v>614.9960850775535</v>
      </c>
      <c r="M63" s="63">
        <f t="shared" si="3"/>
        <v>2.340732724781375</v>
      </c>
      <c r="N63" s="62">
        <f t="shared" si="4"/>
        <v>-20</v>
      </c>
    </row>
    <row r="64" spans="1:14" ht="12.75">
      <c r="A64" s="58">
        <v>28</v>
      </c>
      <c r="B64" s="59"/>
      <c r="C64" s="60">
        <f t="shared" si="0"/>
        <v>-227.5334533512804</v>
      </c>
      <c r="D64" s="61"/>
      <c r="E64" s="62">
        <f t="shared" si="5"/>
        <v>377.9144354748227</v>
      </c>
      <c r="F64" s="62">
        <f t="shared" si="6"/>
        <v>9.260416923902778</v>
      </c>
      <c r="G64" s="62">
        <f t="shared" si="7"/>
        <v>-46.8146544956275</v>
      </c>
      <c r="H64" s="59"/>
      <c r="I64" s="62">
        <f t="shared" si="1"/>
        <v>112.82674455181757</v>
      </c>
      <c r="J64" s="62">
        <f t="shared" si="2"/>
        <v>1663.3281373195027</v>
      </c>
      <c r="K64" s="62">
        <f t="shared" si="8"/>
        <v>-37.04166769561111</v>
      </c>
      <c r="L64" s="62">
        <f t="shared" si="9"/>
        <v>424.50429942188424</v>
      </c>
      <c r="M64" s="63">
        <f t="shared" si="3"/>
        <v>2.4156361719743793</v>
      </c>
      <c r="N64" s="62">
        <f t="shared" si="4"/>
        <v>-20</v>
      </c>
    </row>
    <row r="65" spans="1:14" ht="12.75">
      <c r="A65" s="58">
        <v>29</v>
      </c>
      <c r="B65" s="59"/>
      <c r="C65" s="60">
        <f t="shared" si="0"/>
        <v>-227.5334533512804</v>
      </c>
      <c r="D65" s="61"/>
      <c r="E65" s="62">
        <f t="shared" si="5"/>
        <v>386.22855305526883</v>
      </c>
      <c r="F65" s="62">
        <f t="shared" si="6"/>
        <v>5.8168000391631605</v>
      </c>
      <c r="G65" s="62">
        <f>N66*M64</f>
        <v>-48.312723439487584</v>
      </c>
      <c r="H65" s="59"/>
      <c r="I65" s="62">
        <f t="shared" si="1"/>
        <v>116.199176303664</v>
      </c>
      <c r="J65" s="62">
        <f t="shared" si="2"/>
        <v>1779.5273136231667</v>
      </c>
      <c r="K65" s="62">
        <f t="shared" si="8"/>
        <v>-23.267200156652642</v>
      </c>
      <c r="L65" s="62">
        <f t="shared" si="9"/>
        <v>220.2380462272565</v>
      </c>
      <c r="M65" s="63">
        <f t="shared" si="3"/>
        <v>2.4929365294775594</v>
      </c>
      <c r="N65" s="62">
        <f t="shared" si="4"/>
        <v>-20</v>
      </c>
    </row>
    <row r="66" spans="1:14" ht="12.75">
      <c r="A66" s="58">
        <v>30</v>
      </c>
      <c r="B66" s="59"/>
      <c r="C66" s="60">
        <f t="shared" si="0"/>
        <v>-227.5334533512804</v>
      </c>
      <c r="D66" s="61"/>
      <c r="E66" s="62">
        <f t="shared" si="5"/>
        <v>394.7255812224848</v>
      </c>
      <c r="F66" s="62">
        <f t="shared" si="6"/>
        <v>2.12102987193326</v>
      </c>
      <c r="G66" s="62">
        <f>O67*M65</f>
        <v>0</v>
      </c>
      <c r="H66" s="59"/>
      <c r="I66" s="62">
        <f t="shared" si="1"/>
        <v>169.31315774313765</v>
      </c>
      <c r="J66" s="64">
        <f t="shared" si="2"/>
        <v>1948.8404713663044</v>
      </c>
      <c r="K66" s="62">
        <f t="shared" si="8"/>
        <v>-8.48411948773304</v>
      </c>
      <c r="L66" s="62">
        <f t="shared" si="9"/>
        <v>1.1887123637091292</v>
      </c>
      <c r="M66" s="63">
        <f t="shared" si="3"/>
        <v>2.572710498420841</v>
      </c>
      <c r="N66" s="62">
        <f t="shared" si="4"/>
        <v>-20</v>
      </c>
    </row>
    <row r="67" spans="4:15" ht="13.5" thickBot="1">
      <c r="D67" s="65"/>
      <c r="E67" s="65"/>
      <c r="K67" s="65">
        <f>SUM(K37:K66)</f>
        <v>-3977.1923129021234</v>
      </c>
      <c r="L67" s="65"/>
      <c r="M67" s="65"/>
      <c r="O67" s="65"/>
    </row>
    <row r="68" spans="2:7" ht="35.25" customHeight="1" thickBot="1">
      <c r="B68" s="114" t="s">
        <v>18</v>
      </c>
      <c r="C68" s="115"/>
      <c r="D68" s="66"/>
      <c r="E68" s="67"/>
      <c r="F68" s="116" t="s">
        <v>53</v>
      </c>
      <c r="G68" s="117"/>
    </row>
    <row r="69" spans="2:8" ht="35.25" customHeight="1" thickBot="1" thickTop="1">
      <c r="B69" s="68">
        <f>IRR(I36:I46)</f>
        <v>0.1478432668214707</v>
      </c>
      <c r="C69" s="69" t="s">
        <v>29</v>
      </c>
      <c r="F69" s="70">
        <f>NPV($C$23,I37:I46)</f>
        <v>1071.5841607779523</v>
      </c>
      <c r="G69" s="71" t="s">
        <v>29</v>
      </c>
      <c r="H69" s="72"/>
    </row>
    <row r="70" spans="2:8" ht="35.25" customHeight="1" thickBot="1" thickTop="1">
      <c r="B70" s="73">
        <f>IRR(I36:I66)</f>
        <v>0.19159570653169955</v>
      </c>
      <c r="C70" s="74" t="s">
        <v>28</v>
      </c>
      <c r="F70" s="75">
        <f>NPV($C$23,I36:I66)</f>
        <v>478.37746389737833</v>
      </c>
      <c r="G70" s="74" t="s">
        <v>28</v>
      </c>
      <c r="H70" s="72"/>
    </row>
    <row r="71" spans="1:8" ht="11.25" customHeight="1" thickTop="1">
      <c r="A71" s="76"/>
      <c r="B71" s="77"/>
      <c r="C71" s="78"/>
      <c r="D71" s="79"/>
      <c r="E71" s="80"/>
      <c r="H71" s="72"/>
    </row>
    <row r="72" ht="15">
      <c r="A72" s="81" t="s">
        <v>20</v>
      </c>
    </row>
    <row r="73" spans="1:5" ht="18" customHeight="1">
      <c r="A73" s="120" t="s">
        <v>21</v>
      </c>
      <c r="B73" s="119"/>
      <c r="C73" s="119"/>
      <c r="D73" s="119"/>
      <c r="E73" s="82">
        <f>C37/12</f>
        <v>-18.9611211126067</v>
      </c>
    </row>
    <row r="74" spans="1:5" ht="18" customHeight="1">
      <c r="A74" s="120" t="s">
        <v>22</v>
      </c>
      <c r="B74" s="119"/>
      <c r="C74" s="119"/>
      <c r="D74" s="119"/>
      <c r="E74" s="82">
        <f>F37/12</f>
        <v>4.137264750596158</v>
      </c>
    </row>
    <row r="75" spans="1:5" ht="18" customHeight="1">
      <c r="A75" s="120" t="s">
        <v>23</v>
      </c>
      <c r="B75" s="119"/>
      <c r="C75" s="119"/>
      <c r="D75" s="119"/>
      <c r="E75" s="82">
        <f>E37/12</f>
        <v>17.5</v>
      </c>
    </row>
    <row r="76" spans="1:5" ht="18" customHeight="1" thickBot="1">
      <c r="A76" s="120" t="s">
        <v>24</v>
      </c>
      <c r="B76" s="119"/>
      <c r="C76" s="119"/>
      <c r="D76" s="119"/>
      <c r="E76" s="83">
        <f>(N37/12+N51/(15*12))</f>
        <v>-2.055555555555556</v>
      </c>
    </row>
    <row r="77" spans="1:5" ht="21" customHeight="1" thickBot="1">
      <c r="A77" s="118" t="s">
        <v>25</v>
      </c>
      <c r="B77" s="119"/>
      <c r="C77" s="119"/>
      <c r="D77" s="119"/>
      <c r="E77" s="84">
        <f>SUM(E73:E76)</f>
        <v>0.6205880824339007</v>
      </c>
    </row>
    <row r="78" ht="13.5" thickTop="1"/>
    <row r="80" ht="15">
      <c r="A80" s="81"/>
    </row>
  </sheetData>
  <mergeCells count="18">
    <mergeCell ref="A77:D77"/>
    <mergeCell ref="A73:D73"/>
    <mergeCell ref="A74:D74"/>
    <mergeCell ref="A75:D75"/>
    <mergeCell ref="A76:D76"/>
    <mergeCell ref="E28:G28"/>
    <mergeCell ref="A33:N33"/>
    <mergeCell ref="C34:D34"/>
    <mergeCell ref="B68:C68"/>
    <mergeCell ref="F68:G68"/>
    <mergeCell ref="E23:F23"/>
    <mergeCell ref="E24:F24"/>
    <mergeCell ref="E25:H26"/>
    <mergeCell ref="E27:G27"/>
    <mergeCell ref="B19:C19"/>
    <mergeCell ref="E19:H19"/>
    <mergeCell ref="E21:H21"/>
    <mergeCell ref="E22:F2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 Department of Commerce</dc:creator>
  <cp:keywords/>
  <dc:description/>
  <cp:lastModifiedBy>Unknown User</cp:lastModifiedBy>
  <dcterms:created xsi:type="dcterms:W3CDTF">2002-02-15T18:44:27Z</dcterms:created>
  <dcterms:modified xsi:type="dcterms:W3CDTF">2002-05-03T17:05:10Z</dcterms:modified>
  <cp:category/>
  <cp:version/>
  <cp:contentType/>
  <cp:contentStatus/>
</cp:coreProperties>
</file>